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paul\Downloads\"/>
    </mc:Choice>
  </mc:AlternateContent>
  <xr:revisionPtr revIDLastSave="0" documentId="13_ncr:1_{DC068A35-F2C1-4799-BE8D-472BCEAB6F4E}" xr6:coauthVersionLast="47" xr6:coauthVersionMax="47" xr10:uidLastSave="{00000000-0000-0000-0000-000000000000}"/>
  <bookViews>
    <workbookView xWindow="3390" yWindow="1005" windowWidth="20385" windowHeight="13035" xr2:uid="{00000000-000D-0000-FFFF-FFFF00000000}"/>
  </bookViews>
  <sheets>
    <sheet name="Mass &amp; Balance" sheetId="1" r:id="rId1"/>
    <sheet name="AC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9" i="1"/>
  <c r="H15" i="1"/>
  <c r="C35" i="1"/>
  <c r="G39" i="1" s="1"/>
  <c r="I34" i="1"/>
  <c r="E33" i="1"/>
  <c r="I37" i="1"/>
  <c r="B28" i="1"/>
  <c r="H33" i="1" s="1"/>
  <c r="B27" i="1"/>
  <c r="G33" i="1" s="1"/>
  <c r="G38" i="1" s="1"/>
  <c r="B26" i="1"/>
  <c r="I36" i="1"/>
  <c r="I35" i="1"/>
  <c r="G40" i="1" l="1"/>
  <c r="H14" i="1"/>
  <c r="H13" i="1"/>
  <c r="I33" i="1"/>
  <c r="I38" i="1" s="1"/>
  <c r="I39" i="1"/>
  <c r="G14" i="1" l="1"/>
  <c r="G13" i="1"/>
  <c r="I40" i="1"/>
  <c r="H40" i="1" s="1"/>
  <c r="G9" i="1" s="1"/>
  <c r="H38" i="1"/>
  <c r="H9" i="1"/>
</calcChain>
</file>

<file path=xl/sharedStrings.xml><?xml version="1.0" encoding="utf-8"?>
<sst xmlns="http://schemas.openxmlformats.org/spreadsheetml/2006/main" count="48" uniqueCount="34">
  <si>
    <t>Arm</t>
  </si>
  <si>
    <t>Moment</t>
  </si>
  <si>
    <t>Max</t>
  </si>
  <si>
    <t>Mass</t>
  </si>
  <si>
    <t>Data for CG-Envelope Diagram</t>
  </si>
  <si>
    <t>Normal Envelope</t>
  </si>
  <si>
    <t>MTOM</t>
  </si>
  <si>
    <t>Fuel</t>
  </si>
  <si>
    <t>engine-prop flange</t>
  </si>
  <si>
    <t>Calculated CG</t>
  </si>
  <si>
    <t>Registration</t>
  </si>
  <si>
    <t>Volume</t>
  </si>
  <si>
    <t>Pilot</t>
  </si>
  <si>
    <t>Passenger</t>
  </si>
  <si>
    <t>Behind seats</t>
  </si>
  <si>
    <t>Wing lockers</t>
  </si>
  <si>
    <t>Empty mass</t>
  </si>
  <si>
    <t>Empty arm</t>
  </si>
  <si>
    <t>CG reference (datum):</t>
  </si>
  <si>
    <t>Aircaft Data</t>
  </si>
  <si>
    <t>CG Calculation</t>
  </si>
  <si>
    <t>2 x 20 kg</t>
  </si>
  <si>
    <t>Subtotal</t>
  </si>
  <si>
    <t>CG Range Fuel</t>
  </si>
  <si>
    <t>Min Fuel</t>
  </si>
  <si>
    <t>Fuel Density</t>
  </si>
  <si>
    <t>Bristell B23-912 Mass &amp; Balance</t>
  </si>
  <si>
    <t>MAC</t>
  </si>
  <si>
    <t>MAC Leading Edge</t>
  </si>
  <si>
    <t>%MAC</t>
  </si>
  <si>
    <t>AFM 2-7 (p.34)</t>
  </si>
  <si>
    <t>(min 55kg)</t>
  </si>
  <si>
    <t>HB-KVP</t>
  </si>
  <si>
    <t>HB-KIS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</si>
</sst>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&quot; kg&quot;"/>
    <numFmt numFmtId="165" formatCode="0&quot; kg&quot;"/>
    <numFmt numFmtId="166" formatCode="0.00&quot; kg&quot;"/>
    <numFmt numFmtId="167" formatCode="&quot;CG: &quot;0.00&quot; m&quot;"/>
    <numFmt numFmtId="168" formatCode="0.0\ &quot;kg&quot;"/>
    <numFmt numFmtId="169" formatCode="0.0\ &quot;l&quot;"/>
    <numFmt numFmtId="170" formatCode="0.000"/>
    <numFmt numFmtId="171" formatCode="0.000\ &quot;m&quot;"/>
    <numFmt numFmtId="172" formatCode="0\ &quot;kg&quot;"/>
    <numFmt numFmtId="173" formatCode="0\ &quot;kg*m&quot;"/>
  </numFmts>
  <fonts count="10" x14ac:knownFonts="1">
    <font>
      <sz val="11"/>
      <color theme="1"/>
      <name val="Calibri"/>
      <family val="2"/>
      <scheme val="minor"/>
    </font>
    <font>
      <sz val="26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2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u/>
      <sz val="14"/>
      <color rgb="FF000000"/>
      <name val="Arial"/>
      <family val="2"/>
      <charset val="1"/>
    </font>
    <font>
      <b/>
      <u/>
      <sz val="16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1"/>
      <name val="Arial"/>
      <family val="2"/>
      <charset val="1"/>
    </font>
    <font>
      <u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DAE3F3"/>
      </patternFill>
    </fill>
    <fill>
      <patternFill patternType="solid">
        <fgColor theme="2" tint="-9.9978637043366805E-2"/>
        <bgColor rgb="FFE2F0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169" fontId="2" fillId="2" borderId="1" xfId="0" applyNumberFormat="1" applyFont="1" applyFill="1" applyBorder="1" applyProtection="1">
      <protection locked="0"/>
    </xf>
    <xf numFmtId="0" fontId="4" fillId="0" borderId="14" xfId="0" applyFont="1" applyBorder="1" applyProtection="1">
      <protection locked="0"/>
    </xf>
    <xf numFmtId="0" fontId="2" fillId="3" borderId="1" xfId="0" applyFont="1" applyFill="1" applyBorder="1"/>
    <xf numFmtId="0" fontId="2" fillId="3" borderId="3" xfId="0" applyFont="1" applyFill="1" applyBorder="1" applyAlignment="1">
      <alignment horizontal="center"/>
    </xf>
    <xf numFmtId="172" fontId="2" fillId="4" borderId="1" xfId="0" applyNumberFormat="1" applyFont="1" applyFill="1" applyBorder="1"/>
    <xf numFmtId="168" fontId="2" fillId="4" borderId="1" xfId="0" applyNumberFormat="1" applyFont="1" applyFill="1" applyBorder="1"/>
    <xf numFmtId="171" fontId="2" fillId="4" borderId="1" xfId="0" applyNumberFormat="1" applyFont="1" applyFill="1" applyBorder="1"/>
    <xf numFmtId="170" fontId="2" fillId="4" borderId="18" xfId="0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2" fillId="4" borderId="19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167" fontId="4" fillId="4" borderId="2" xfId="0" applyNumberFormat="1" applyFont="1" applyFill="1" applyBorder="1" applyAlignment="1">
      <alignment horizontal="right"/>
    </xf>
    <xf numFmtId="164" fontId="2" fillId="4" borderId="6" xfId="0" applyNumberFormat="1" applyFont="1" applyFill="1" applyBorder="1" applyAlignment="1">
      <alignment horizontal="right" vertical="center"/>
    </xf>
    <xf numFmtId="165" fontId="8" fillId="5" borderId="20" xfId="0" applyNumberFormat="1" applyFont="1" applyFill="1" applyBorder="1" applyAlignment="1" applyProtection="1">
      <alignment horizontal="right" vertical="center"/>
      <protection locked="0"/>
    </xf>
    <xf numFmtId="0" fontId="8" fillId="5" borderId="20" xfId="0" applyFont="1" applyFill="1" applyBorder="1" applyAlignment="1" applyProtection="1">
      <alignment horizontal="right" vertical="center"/>
      <protection locked="0"/>
    </xf>
    <xf numFmtId="164" fontId="4" fillId="5" borderId="17" xfId="0" applyNumberFormat="1" applyFont="1" applyFill="1" applyBorder="1"/>
    <xf numFmtId="169" fontId="2" fillId="4" borderId="1" xfId="0" applyNumberFormat="1" applyFont="1" applyFill="1" applyBorder="1"/>
    <xf numFmtId="0" fontId="2" fillId="0" borderId="4" xfId="0" applyFont="1" applyBorder="1"/>
    <xf numFmtId="167" fontId="2" fillId="0" borderId="4" xfId="0" applyNumberFormat="1" applyFont="1" applyBorder="1"/>
    <xf numFmtId="166" fontId="2" fillId="0" borderId="4" xfId="0" applyNumberFormat="1" applyFont="1" applyBorder="1"/>
    <xf numFmtId="0" fontId="2" fillId="3" borderId="2" xfId="0" applyFont="1" applyFill="1" applyBorder="1"/>
    <xf numFmtId="164" fontId="4" fillId="0" borderId="16" xfId="0" applyNumberFormat="1" applyFont="1" applyBorder="1"/>
    <xf numFmtId="164" fontId="2" fillId="4" borderId="19" xfId="0" applyNumberFormat="1" applyFont="1" applyFill="1" applyBorder="1" applyAlignment="1">
      <alignment horizontal="right" vertical="center"/>
    </xf>
    <xf numFmtId="170" fontId="2" fillId="4" borderId="4" xfId="0" applyNumberFormat="1" applyFont="1" applyFill="1" applyBorder="1" applyAlignment="1">
      <alignment horizontal="right" vertical="center"/>
    </xf>
    <xf numFmtId="0" fontId="2" fillId="3" borderId="21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165" fontId="2" fillId="0" borderId="4" xfId="0" applyNumberFormat="1" applyFont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>
      <alignment horizontal="right" vertical="center"/>
    </xf>
    <xf numFmtId="164" fontId="2" fillId="4" borderId="18" xfId="0" applyNumberFormat="1" applyFont="1" applyFill="1" applyBorder="1" applyAlignment="1">
      <alignment horizontal="right" vertical="center"/>
    </xf>
    <xf numFmtId="164" fontId="2" fillId="4" borderId="20" xfId="0" applyNumberFormat="1" applyFont="1" applyFill="1" applyBorder="1" applyAlignment="1">
      <alignment horizontal="right" vertical="center"/>
    </xf>
    <xf numFmtId="164" fontId="2" fillId="4" borderId="11" xfId="0" applyNumberFormat="1" applyFont="1" applyFill="1" applyBorder="1" applyAlignment="1">
      <alignment horizontal="right" vertical="center"/>
    </xf>
    <xf numFmtId="0" fontId="9" fillId="0" borderId="0" xfId="0" applyFont="1"/>
    <xf numFmtId="173" fontId="2" fillId="4" borderId="2" xfId="0" applyNumberFormat="1" applyFont="1" applyFill="1" applyBorder="1"/>
    <xf numFmtId="0" fontId="6" fillId="0" borderId="0" xfId="0" applyFont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2" fillId="0" borderId="0" xfId="0" applyFont="1"/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1"/>
        <scheme val="none"/>
      </font>
      <numFmt numFmtId="0" formatCode="General"/>
    </dxf>
  </dxfs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615055973176101E-2"/>
          <c:y val="3.1234154751039401E-2"/>
          <c:w val="0.87534476231680303"/>
          <c:h val="0.85985194199371295"/>
        </c:manualLayout>
      </c:layout>
      <c:scatterChart>
        <c:scatterStyle val="lineMarker"/>
        <c:varyColors val="0"/>
        <c:ser>
          <c:idx val="1"/>
          <c:order val="0"/>
          <c:tx>
            <c:v>Normal</c:v>
          </c:tx>
          <c:spPr>
            <a:ln>
              <a:solidFill>
                <a:schemeClr val="accent5"/>
              </a:solidFill>
            </a:ln>
          </c:spPr>
          <c:marker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xVal>
            <c:numRef>
              <c:f>'Mass &amp; Balance'!$D$9:$D$16</c:f>
              <c:numCache>
                <c:formatCode>General</c:formatCode>
                <c:ptCount val="8"/>
                <c:pt idx="0">
                  <c:v>1.71275</c:v>
                </c:pt>
                <c:pt idx="1">
                  <c:v>1.8067599999999999</c:v>
                </c:pt>
                <c:pt idx="2">
                  <c:v>1.8403350000000001</c:v>
                </c:pt>
                <c:pt idx="3">
                  <c:v>1.8403350000000001</c:v>
                </c:pt>
                <c:pt idx="4">
                  <c:v>1.7933300000000001</c:v>
                </c:pt>
                <c:pt idx="5">
                  <c:v>1.71275</c:v>
                </c:pt>
                <c:pt idx="6">
                  <c:v>1.71275</c:v>
                </c:pt>
                <c:pt idx="7">
                  <c:v>1.71275</c:v>
                </c:pt>
              </c:numCache>
            </c:numRef>
          </c:xVal>
          <c:yVal>
            <c:numRef>
              <c:f>'Mass &amp; Balance'!$E$9:$E$16</c:f>
              <c:numCache>
                <c:formatCode>General</c:formatCode>
                <c:ptCount val="8"/>
                <c:pt idx="0">
                  <c:v>490</c:v>
                </c:pt>
                <c:pt idx="1">
                  <c:v>490</c:v>
                </c:pt>
                <c:pt idx="2">
                  <c:v>600</c:v>
                </c:pt>
                <c:pt idx="3">
                  <c:v>750</c:v>
                </c:pt>
                <c:pt idx="4">
                  <c:v>750</c:v>
                </c:pt>
                <c:pt idx="5">
                  <c:v>600</c:v>
                </c:pt>
                <c:pt idx="6">
                  <c:v>490</c:v>
                </c:pt>
                <c:pt idx="7">
                  <c:v>490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1B-425C-99A7-03BF8EA9626C}"/>
            </c:ext>
          </c:extLst>
        </c:ser>
        <c:ser>
          <c:idx val="3"/>
          <c:order val="1"/>
          <c:tx>
            <c:v>Fuel</c:v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6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8.0 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B94-9547-BF46-CDB3288591C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120.0</a:t>
                    </a:r>
                    <a:r>
                      <a:rPr lang="en-US" baseline="0"/>
                      <a:t> l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B94-9547-BF46-CDB3288591C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'Mass &amp; Balance'!$G$13:$G$14</c:f>
              <c:numCache>
                <c:formatCode>"CG: "0.00" m"</c:formatCode>
                <c:ptCount val="2"/>
                <c:pt idx="0">
                  <c:v>1.8284923072102275</c:v>
                </c:pt>
                <c:pt idx="1">
                  <c:v>1.8028620114063152</c:v>
                </c:pt>
              </c:numCache>
            </c:numRef>
          </c:xVal>
          <c:yVal>
            <c:numRef>
              <c:f>'Mass &amp; Balance'!$H$13:$H$14</c:f>
              <c:numCache>
                <c:formatCode>0.00" kg"</c:formatCode>
                <c:ptCount val="2"/>
                <c:pt idx="0">
                  <c:v>638.26</c:v>
                </c:pt>
                <c:pt idx="1">
                  <c:v>718.9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53-ED46-AF44-58DFFFBBD2B5}"/>
            </c:ext>
          </c:extLst>
        </c:ser>
        <c:ser>
          <c:idx val="2"/>
          <c:order val="2"/>
          <c:tx>
            <c:v>CG</c:v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'Mass &amp; Balance'!$G$9</c:f>
              <c:numCache>
                <c:formatCode>"CG: "0.00" m"</c:formatCode>
                <c:ptCount val="1"/>
                <c:pt idx="0">
                  <c:v>1.8028620114063152</c:v>
                </c:pt>
              </c:numCache>
            </c:numRef>
          </c:xVal>
          <c:yVal>
            <c:numRef>
              <c:f>'Mass &amp; Balance'!$H$9</c:f>
              <c:numCache>
                <c:formatCode>0.00" kg"</c:formatCode>
                <c:ptCount val="1"/>
                <c:pt idx="0">
                  <c:v>718.9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1B-425C-99A7-03BF8EA96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2875"/>
        <c:axId val="88742836"/>
      </c:scatterChart>
      <c:valAx>
        <c:axId val="59928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de-CH" sz="1050" b="0" strike="noStrike" spc="-1">
                    <a:solidFill>
                      <a:srgbClr val="595959"/>
                    </a:solidFill>
                    <a:latin typeface="Arial"/>
                  </a:defRPr>
                </a:pPr>
                <a:r>
                  <a:rPr lang="de-CH" sz="1050" b="0" strike="noStrike" spc="-1">
                    <a:solidFill>
                      <a:srgbClr val="595959"/>
                    </a:solidFill>
                    <a:latin typeface="Arial"/>
                  </a:rPr>
                  <a:t>Arm aft CG Reference (m)</a:t>
                </a:r>
              </a:p>
            </c:rich>
          </c:tx>
          <c:layout>
            <c:manualLayout>
              <c:xMode val="edge"/>
              <c:yMode val="edge"/>
              <c:x val="0.44172840841490502"/>
              <c:y val="0.9417908934185169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de-DE"/>
          </a:p>
        </c:txPr>
        <c:crossAx val="88742836"/>
        <c:crosses val="autoZero"/>
        <c:crossBetween val="midCat"/>
      </c:valAx>
      <c:valAx>
        <c:axId val="88742836"/>
        <c:scaling>
          <c:orientation val="minMax"/>
          <c:min val="480"/>
        </c:scaling>
        <c:delete val="0"/>
        <c:axPos val="l"/>
        <c:title>
          <c:tx>
            <c:rich>
              <a:bodyPr rot="-5400000"/>
              <a:lstStyle/>
              <a:p>
                <a:pPr>
                  <a:defRPr lang="de-CH" sz="1000" b="0" strike="noStrike" spc="-1">
                    <a:solidFill>
                      <a:srgbClr val="595959"/>
                    </a:solidFill>
                    <a:latin typeface="Arial"/>
                  </a:defRPr>
                </a:pPr>
                <a:r>
                  <a:rPr lang="de-CH" sz="1000" b="0" strike="noStrike" spc="-1">
                    <a:solidFill>
                      <a:srgbClr val="595959"/>
                    </a:solidFill>
                    <a:latin typeface="Arial"/>
                  </a:rPr>
                  <a:t>Total Mass (kg)</a:t>
                </a:r>
              </a:p>
            </c:rich>
          </c:tx>
          <c:layout>
            <c:manualLayout>
              <c:xMode val="edge"/>
              <c:yMode val="edge"/>
              <c:x val="1.7180088027945521E-2"/>
              <c:y val="0.3646305946575649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de-DE"/>
          </a:p>
        </c:txPr>
        <c:crossAx val="5992875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9</xdr:col>
      <xdr:colOff>0</xdr:colOff>
      <xdr:row>23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85AB26-30A8-CB8A-8536-C042FAB9F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946F37-AA87-47DB-90C2-8DB1680EF15C}" name="AircraftDatabase" displayName="AircraftDatabase" ref="A2:D21" totalsRowShown="0">
  <autoFilter ref="A2:D21" xr:uid="{56946F37-AA87-47DB-90C2-8DB1680EF15C}"/>
  <tableColumns count="4">
    <tableColumn id="1" xr3:uid="{0CEEBBED-4674-4FAC-9A91-2E5AC182A1E8}" name="Registration" dataDxfId="2"/>
    <tableColumn id="4" xr3:uid="{C76AD0AC-0277-4D08-90C2-C8FD18B0FE45}" name="MTOM"/>
    <tableColumn id="5" xr3:uid="{11C4A243-8647-48E2-AB9D-BC8453FA2A8E}" name="Empty mass"/>
    <tableColumn id="6" xr3:uid="{60CBCAE5-6611-4811-87CB-7BEAE96EB217}" name="Empty arm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zoomScale="85" zoomScaleNormal="85" workbookViewId="0">
      <selection activeCell="D26" sqref="D26"/>
    </sheetView>
  </sheetViews>
  <sheetFormatPr baseColWidth="10" defaultColWidth="9.140625" defaultRowHeight="15" x14ac:dyDescent="0.25"/>
  <cols>
    <col min="1" max="4" width="11.28515625" customWidth="1"/>
    <col min="5" max="5" width="13.42578125" bestFit="1" customWidth="1"/>
    <col min="6" max="7" width="11.28515625" customWidth="1"/>
    <col min="8" max="8" width="12.5703125" customWidth="1"/>
    <col min="9" max="10" width="11.28515625" customWidth="1"/>
    <col min="11" max="11" width="10.85546875" customWidth="1"/>
  </cols>
  <sheetData>
    <row r="1" spans="1:9" ht="15" customHeight="1" x14ac:dyDescent="0.25">
      <c r="A1" s="55" t="s">
        <v>26</v>
      </c>
      <c r="B1" s="55"/>
      <c r="C1" s="55"/>
      <c r="D1" s="55"/>
      <c r="E1" s="55"/>
      <c r="F1" s="55"/>
      <c r="G1" s="55"/>
      <c r="H1" s="55"/>
      <c r="I1" s="55"/>
    </row>
    <row r="2" spans="1:9" ht="15" customHeight="1" x14ac:dyDescent="0.25">
      <c r="A2" s="55"/>
      <c r="B2" s="55"/>
      <c r="C2" s="55"/>
      <c r="D2" s="55"/>
      <c r="E2" s="55"/>
      <c r="F2" s="55"/>
      <c r="G2" s="55"/>
      <c r="H2" s="55"/>
      <c r="I2" s="55"/>
    </row>
    <row r="3" spans="1:9" ht="27" x14ac:dyDescent="0.25">
      <c r="A3" s="3"/>
      <c r="B3" s="3"/>
      <c r="C3" s="3"/>
      <c r="D3" s="3"/>
      <c r="E3" s="3"/>
      <c r="F3" s="3"/>
      <c r="G3" s="3"/>
      <c r="H3" s="3"/>
      <c r="I3" s="1"/>
    </row>
    <row r="4" spans="1:9" x14ac:dyDescent="0.25">
      <c r="A4" s="48" t="s">
        <v>4</v>
      </c>
      <c r="B4" s="48"/>
      <c r="C4" s="48"/>
      <c r="D4" s="48"/>
      <c r="E4" s="48"/>
      <c r="F4" s="1"/>
      <c r="G4" s="1"/>
      <c r="H4" s="1"/>
      <c r="I4" s="1"/>
    </row>
    <row r="5" spans="1:9" x14ac:dyDescent="0.25">
      <c r="A5" s="48"/>
      <c r="B5" s="48"/>
      <c r="C5" s="48"/>
      <c r="D5" s="48"/>
      <c r="E5" s="48"/>
      <c r="F5" s="1"/>
      <c r="G5" s="1"/>
      <c r="H5" s="1"/>
      <c r="I5" s="1"/>
    </row>
    <row r="6" spans="1:9" ht="20.25" x14ac:dyDescent="0.25">
      <c r="A6" s="4"/>
      <c r="B6" s="4"/>
      <c r="C6" s="4"/>
      <c r="D6" s="4"/>
      <c r="E6" s="4"/>
      <c r="F6" s="1"/>
      <c r="G6" s="1"/>
      <c r="H6" s="1"/>
      <c r="I6" s="1"/>
    </row>
    <row r="7" spans="1:9" x14ac:dyDescent="0.25">
      <c r="A7" s="5"/>
      <c r="B7" s="6"/>
      <c r="C7" s="1"/>
      <c r="D7" s="5" t="s">
        <v>5</v>
      </c>
      <c r="E7" s="6"/>
      <c r="F7" s="1"/>
      <c r="G7" s="1" t="s">
        <v>9</v>
      </c>
      <c r="H7" s="1"/>
      <c r="I7" s="1"/>
    </row>
    <row r="8" spans="1:9" x14ac:dyDescent="0.25">
      <c r="A8" s="1" t="s">
        <v>30</v>
      </c>
      <c r="B8" s="1"/>
      <c r="C8" s="28" t="s">
        <v>29</v>
      </c>
      <c r="D8" s="28" t="s">
        <v>0</v>
      </c>
      <c r="E8" s="28" t="s">
        <v>3</v>
      </c>
      <c r="F8" s="1"/>
      <c r="G8" s="28" t="s">
        <v>0</v>
      </c>
      <c r="H8" s="28" t="s">
        <v>3</v>
      </c>
      <c r="I8" s="1"/>
    </row>
    <row r="9" spans="1:9" x14ac:dyDescent="0.25">
      <c r="A9" s="1" t="s">
        <v>27</v>
      </c>
      <c r="B9" s="1">
        <v>1.343</v>
      </c>
      <c r="C9" s="28">
        <v>25</v>
      </c>
      <c r="D9" s="28">
        <f>$B$10+0.01*C9*$B$9</f>
        <v>1.71275</v>
      </c>
      <c r="E9" s="28">
        <v>490</v>
      </c>
      <c r="F9" s="1"/>
      <c r="G9" s="29">
        <f>H40</f>
        <v>1.8028620114063152</v>
      </c>
      <c r="H9" s="30">
        <f>G40</f>
        <v>718.9</v>
      </c>
      <c r="I9" s="1"/>
    </row>
    <row r="10" spans="1:9" x14ac:dyDescent="0.25">
      <c r="A10" s="1" t="s">
        <v>28</v>
      </c>
      <c r="B10" s="1">
        <v>1.377</v>
      </c>
      <c r="C10" s="28">
        <v>32</v>
      </c>
      <c r="D10" s="28">
        <f t="shared" ref="D10:D16" si="0">$B$10+0.01*C10*$B$9</f>
        <v>1.8067599999999999</v>
      </c>
      <c r="E10" s="28">
        <v>490</v>
      </c>
      <c r="F10" s="1"/>
      <c r="G10" s="1"/>
      <c r="H10" s="1"/>
      <c r="I10" s="1"/>
    </row>
    <row r="11" spans="1:9" x14ac:dyDescent="0.25">
      <c r="A11" s="1"/>
      <c r="B11" s="1"/>
      <c r="C11" s="28">
        <v>34.5</v>
      </c>
      <c r="D11" s="28">
        <f t="shared" si="0"/>
        <v>1.8403350000000001</v>
      </c>
      <c r="E11" s="28">
        <v>600</v>
      </c>
      <c r="F11" s="1"/>
      <c r="G11" s="58" t="s">
        <v>23</v>
      </c>
      <c r="H11" s="58"/>
      <c r="I11" s="1"/>
    </row>
    <row r="12" spans="1:9" x14ac:dyDescent="0.25">
      <c r="A12" s="1"/>
      <c r="B12" s="1"/>
      <c r="C12" s="28">
        <v>34.5</v>
      </c>
      <c r="D12" s="28">
        <f t="shared" si="0"/>
        <v>1.8403350000000001</v>
      </c>
      <c r="E12" s="28">
        <v>750</v>
      </c>
      <c r="F12" s="1"/>
      <c r="G12" s="28" t="s">
        <v>0</v>
      </c>
      <c r="H12" s="28" t="s">
        <v>3</v>
      </c>
      <c r="I12" s="1"/>
    </row>
    <row r="13" spans="1:9" x14ac:dyDescent="0.25">
      <c r="A13" s="1"/>
      <c r="B13" s="1"/>
      <c r="C13" s="28">
        <v>31</v>
      </c>
      <c r="D13" s="28">
        <f t="shared" si="0"/>
        <v>1.7933300000000001</v>
      </c>
      <c r="E13" s="28">
        <v>750</v>
      </c>
      <c r="F13" s="1"/>
      <c r="G13" s="29">
        <f>(I38+H15*H16*H39)/H13</f>
        <v>1.8284923072102275</v>
      </c>
      <c r="H13" s="30">
        <f>G38+H15*H16</f>
        <v>638.26</v>
      </c>
      <c r="I13" s="1"/>
    </row>
    <row r="14" spans="1:9" x14ac:dyDescent="0.25">
      <c r="A14" s="1"/>
      <c r="B14" s="1"/>
      <c r="C14" s="28">
        <v>25</v>
      </c>
      <c r="D14" s="28">
        <f t="shared" si="0"/>
        <v>1.71275</v>
      </c>
      <c r="E14" s="28">
        <v>600</v>
      </c>
      <c r="F14" s="1"/>
      <c r="G14" s="29">
        <f>(I38+B35*H16*H39)/H14</f>
        <v>1.8028620114063152</v>
      </c>
      <c r="H14" s="30">
        <f>G38+B35*H16</f>
        <v>718.9</v>
      </c>
      <c r="I14" s="1"/>
    </row>
    <row r="15" spans="1:9" x14ac:dyDescent="0.25">
      <c r="A15" s="1"/>
      <c r="B15" s="1"/>
      <c r="C15" s="28">
        <v>25</v>
      </c>
      <c r="D15" s="28">
        <f t="shared" si="0"/>
        <v>1.71275</v>
      </c>
      <c r="E15" s="28">
        <v>490</v>
      </c>
      <c r="F15" s="1"/>
      <c r="G15" s="1" t="s">
        <v>24</v>
      </c>
      <c r="H15" s="1">
        <f>2*4</f>
        <v>8</v>
      </c>
      <c r="I15" s="1"/>
    </row>
    <row r="16" spans="1:9" x14ac:dyDescent="0.25">
      <c r="A16" s="1"/>
      <c r="B16" s="1"/>
      <c r="C16" s="28">
        <v>25</v>
      </c>
      <c r="D16" s="28">
        <f t="shared" si="0"/>
        <v>1.71275</v>
      </c>
      <c r="E16" s="28">
        <v>490</v>
      </c>
      <c r="F16" s="1"/>
      <c r="G16" s="1" t="s">
        <v>25</v>
      </c>
      <c r="H16" s="1">
        <v>0.72</v>
      </c>
      <c r="I16" s="1"/>
    </row>
    <row r="17" spans="1:9" x14ac:dyDescent="0.25">
      <c r="A17" s="1"/>
      <c r="B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ht="15.75" thickBot="1" x14ac:dyDescent="0.3">
      <c r="A24" s="7" t="s">
        <v>19</v>
      </c>
      <c r="B24" s="1"/>
      <c r="C24" s="1"/>
      <c r="D24" s="1"/>
      <c r="E24" s="1"/>
      <c r="F24" s="1"/>
      <c r="G24" s="1"/>
      <c r="H24" s="1"/>
      <c r="I24" s="1"/>
    </row>
    <row r="25" spans="1:9" ht="15.75" thickBot="1" x14ac:dyDescent="0.3">
      <c r="A25" s="11" t="s">
        <v>10</v>
      </c>
      <c r="B25" s="10" t="s">
        <v>32</v>
      </c>
      <c r="C25" s="1"/>
      <c r="E25" s="1"/>
      <c r="F25" s="1"/>
      <c r="G25" s="1"/>
      <c r="H25" s="56" t="s">
        <v>18</v>
      </c>
      <c r="I25" s="56"/>
    </row>
    <row r="26" spans="1:9" ht="15.75" thickBot="1" x14ac:dyDescent="0.3">
      <c r="A26" s="11" t="s">
        <v>6</v>
      </c>
      <c r="B26" s="13">
        <f>VLOOKUP($B$25,AircraftDatabase[],2,FALSE())</f>
        <v>750</v>
      </c>
      <c r="C26" s="1"/>
      <c r="E26" s="1"/>
      <c r="F26" s="1"/>
      <c r="G26" s="1"/>
      <c r="H26" s="49" t="s">
        <v>8</v>
      </c>
      <c r="I26" s="50"/>
    </row>
    <row r="27" spans="1:9" ht="15.75" thickBot="1" x14ac:dyDescent="0.3">
      <c r="A27" s="11" t="s">
        <v>16</v>
      </c>
      <c r="B27" s="14">
        <f>VLOOKUP($B$25,AircraftDatabase[],3,FALSE())</f>
        <v>462.5</v>
      </c>
      <c r="C27" s="1"/>
      <c r="E27" s="1"/>
      <c r="F27" s="1"/>
      <c r="G27" s="1"/>
      <c r="H27" s="51"/>
      <c r="I27" s="52"/>
    </row>
    <row r="28" spans="1:9" ht="15.75" thickBot="1" x14ac:dyDescent="0.3">
      <c r="A28" s="31" t="s">
        <v>17</v>
      </c>
      <c r="B28" s="15">
        <f>VLOOKUP($B$25,AircraftDatabase[],4,FALSE())</f>
        <v>1.7330000000000001</v>
      </c>
      <c r="C28" s="1"/>
      <c r="D28" s="1"/>
      <c r="E28" s="1"/>
      <c r="F28" s="1"/>
      <c r="G28" s="1"/>
      <c r="H28" s="53"/>
      <c r="I28" s="54"/>
    </row>
    <row r="29" spans="1:9" x14ac:dyDescent="0.25">
      <c r="A29" s="1"/>
      <c r="B29" s="1"/>
      <c r="C29" s="1"/>
      <c r="D29" s="1"/>
      <c r="E29" s="1"/>
      <c r="F29" s="1"/>
    </row>
    <row r="30" spans="1:9" ht="15" customHeight="1" x14ac:dyDescent="0.25">
      <c r="A30" s="57" t="s">
        <v>20</v>
      </c>
      <c r="B30" s="57"/>
      <c r="C30" s="57"/>
      <c r="D30" s="8"/>
      <c r="E30" s="8"/>
      <c r="F30" s="46"/>
    </row>
    <row r="31" spans="1:9" ht="15" customHeight="1" thickBot="1" x14ac:dyDescent="0.3">
      <c r="A31" s="57"/>
      <c r="B31" s="57"/>
      <c r="C31" s="57"/>
      <c r="D31" s="8"/>
      <c r="E31" s="8"/>
      <c r="F31" s="1"/>
      <c r="G31" s="1"/>
      <c r="H31" s="1"/>
      <c r="I31" s="1"/>
    </row>
    <row r="32" spans="1:9" ht="15.75" thickBot="1" x14ac:dyDescent="0.3">
      <c r="A32" s="1"/>
      <c r="B32" s="1"/>
      <c r="C32" s="1"/>
      <c r="D32" s="1"/>
      <c r="E32" s="1"/>
      <c r="F32" s="38" t="s">
        <v>2</v>
      </c>
      <c r="G32" s="38" t="s">
        <v>3</v>
      </c>
      <c r="H32" s="39" t="s">
        <v>0</v>
      </c>
      <c r="I32" s="40" t="s">
        <v>1</v>
      </c>
    </row>
    <row r="33" spans="1:9" ht="15.75" thickBot="1" x14ac:dyDescent="0.3">
      <c r="A33" s="7" t="s">
        <v>7</v>
      </c>
      <c r="B33" s="1"/>
      <c r="C33" s="1"/>
      <c r="D33" s="1"/>
      <c r="E33" s="35" t="str">
        <f>B25</f>
        <v>HB-KVP</v>
      </c>
      <c r="F33" s="23"/>
      <c r="G33" s="43">
        <f>B27</f>
        <v>462.5</v>
      </c>
      <c r="H33" s="16">
        <f>B28</f>
        <v>1.7330000000000001</v>
      </c>
      <c r="I33" s="17">
        <f t="shared" ref="I33:I37" si="1">G33*H33</f>
        <v>801.51250000000005</v>
      </c>
    </row>
    <row r="34" spans="1:9" ht="15.75" thickBot="1" x14ac:dyDescent="0.3">
      <c r="A34" s="12" t="s">
        <v>11</v>
      </c>
      <c r="B34" s="12" t="s">
        <v>2</v>
      </c>
      <c r="C34" s="12" t="s">
        <v>3</v>
      </c>
      <c r="E34" s="36" t="s">
        <v>12</v>
      </c>
      <c r="F34" s="24" t="s">
        <v>31</v>
      </c>
      <c r="G34" s="41">
        <v>75</v>
      </c>
      <c r="H34" s="18">
        <v>2.085</v>
      </c>
      <c r="I34" s="19">
        <f t="shared" si="1"/>
        <v>156.375</v>
      </c>
    </row>
    <row r="35" spans="1:9" ht="15.75" thickBot="1" x14ac:dyDescent="0.3">
      <c r="A35" s="9">
        <v>120</v>
      </c>
      <c r="B35" s="27">
        <v>120</v>
      </c>
      <c r="C35" s="14">
        <f>A35*H16</f>
        <v>86.399999999999991</v>
      </c>
      <c r="E35" s="36" t="s">
        <v>13</v>
      </c>
      <c r="F35" s="24"/>
      <c r="G35" s="41">
        <v>85</v>
      </c>
      <c r="H35" s="18">
        <v>2.085</v>
      </c>
      <c r="I35" s="19">
        <f t="shared" si="1"/>
        <v>177.22499999999999</v>
      </c>
    </row>
    <row r="36" spans="1:9" x14ac:dyDescent="0.25">
      <c r="E36" s="36" t="s">
        <v>14</v>
      </c>
      <c r="F36" s="24">
        <v>15</v>
      </c>
      <c r="G36" s="41">
        <v>5</v>
      </c>
      <c r="H36" s="18">
        <v>2.52</v>
      </c>
      <c r="I36" s="19">
        <f t="shared" si="1"/>
        <v>12.6</v>
      </c>
    </row>
    <row r="37" spans="1:9" x14ac:dyDescent="0.25">
      <c r="D37" s="1"/>
      <c r="E37" s="36" t="s">
        <v>15</v>
      </c>
      <c r="F37" s="25" t="s">
        <v>21</v>
      </c>
      <c r="G37" s="41">
        <v>5</v>
      </c>
      <c r="H37" s="18">
        <v>2.0249999999999999</v>
      </c>
      <c r="I37" s="19">
        <f t="shared" si="1"/>
        <v>10.125</v>
      </c>
    </row>
    <row r="38" spans="1:9" x14ac:dyDescent="0.25">
      <c r="D38" s="1"/>
      <c r="E38" s="36" t="s">
        <v>22</v>
      </c>
      <c r="F38" s="44"/>
      <c r="G38" s="42">
        <f>SUM(G33:G37)</f>
        <v>632.5</v>
      </c>
      <c r="H38" s="34">
        <f>I38/G38</f>
        <v>1.830573122529644</v>
      </c>
      <c r="I38" s="19">
        <f>SUM(I33:I37)</f>
        <v>1157.8374999999999</v>
      </c>
    </row>
    <row r="39" spans="1:9" ht="15.75" thickBot="1" x14ac:dyDescent="0.3">
      <c r="D39" s="1"/>
      <c r="E39" s="37" t="s">
        <v>7</v>
      </c>
      <c r="F39" s="45"/>
      <c r="G39" s="33">
        <f>C35</f>
        <v>86.399999999999991</v>
      </c>
      <c r="H39" s="20">
        <v>1.6</v>
      </c>
      <c r="I39" s="21">
        <f>G39*H39</f>
        <v>138.23999999999998</v>
      </c>
    </row>
    <row r="40" spans="1:9" ht="15.75" thickBot="1" x14ac:dyDescent="0.3">
      <c r="D40" s="1"/>
      <c r="E40" s="1"/>
      <c r="F40" s="32"/>
      <c r="G40" s="26">
        <f>SUM(G38:G39)</f>
        <v>718.9</v>
      </c>
      <c r="H40" s="22">
        <f>I40/G40</f>
        <v>1.8028620114063152</v>
      </c>
      <c r="I40" s="47">
        <f>SUM(I38:I39)</f>
        <v>1296.0774999999999</v>
      </c>
    </row>
  </sheetData>
  <sheetProtection selectLockedCells="1"/>
  <mergeCells count="6">
    <mergeCell ref="A4:E5"/>
    <mergeCell ref="H26:I28"/>
    <mergeCell ref="A1:I2"/>
    <mergeCell ref="H25:I25"/>
    <mergeCell ref="A30:C31"/>
    <mergeCell ref="G11:H11"/>
  </mergeCells>
  <conditionalFormatting sqref="F40:G40">
    <cfRule type="cellIs" dxfId="1" priority="5" operator="greaterThan">
      <formula>750</formula>
    </cfRule>
  </conditionalFormatting>
  <conditionalFormatting sqref="G37:G38">
    <cfRule type="cellIs" dxfId="0" priority="4" operator="greaterThan">
      <formula>"15kg"</formula>
    </cfRule>
  </conditionalFormatting>
  <dataValidations count="5">
    <dataValidation type="decimal" showInputMessage="1" showErrorMessage="1" sqref="C39" xr:uid="{B6272893-D3D5-6B4A-8B9F-90333DE9EB82}">
      <formula1>0</formula1>
      <formula2>800</formula2>
    </dataValidation>
    <dataValidation type="decimal" showInputMessage="1" showErrorMessage="1" sqref="A35" xr:uid="{C49FE754-8078-1241-B61D-5D31C6D784DA}">
      <formula1>8</formula1>
      <formula2>120</formula2>
    </dataValidation>
    <dataValidation type="decimal" showInputMessage="1" showErrorMessage="1" sqref="G37" xr:uid="{02607EFA-C303-3D47-A651-E77CB177A235}">
      <formula1>0</formula1>
      <formula2>40</formula2>
    </dataValidation>
    <dataValidation type="decimal" showInputMessage="1" showErrorMessage="1" sqref="G36" xr:uid="{DBB9EFFE-C959-504B-ACFF-F0183FD29273}">
      <formula1>0</formula1>
      <formula2>15</formula2>
    </dataValidation>
    <dataValidation showInputMessage="1" showErrorMessage="1" sqref="G38" xr:uid="{582BF520-A15B-9A49-B446-748029F8E263}"/>
  </dataValidations>
  <pageMargins left="0.7" right="0.7" top="0.75" bottom="0.75" header="0.3" footer="0.3"/>
  <pageSetup paperSize="9" scale="75" orientation="portrait" horizontalDpi="4294967295" verticalDpi="4294967295" r:id="rId1"/>
  <ignoredErrors>
    <ignoredError sqref="H38:I38 H40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8D632B-EF6B-9A44-867B-5EAE83434360}">
          <x14:formula1>
            <xm:f>'AC Data'!$A$3:$A$7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ECFF2-F6B1-4AC3-92A3-75528258DD35}">
  <dimension ref="A1:D21"/>
  <sheetViews>
    <sheetView workbookViewId="0">
      <selection activeCell="C4" sqref="C4"/>
    </sheetView>
  </sheetViews>
  <sheetFormatPr baseColWidth="10" defaultRowHeight="15" x14ac:dyDescent="0.25"/>
  <cols>
    <col min="2" max="2" width="9.28515625" customWidth="1"/>
    <col min="3" max="3" width="14.42578125" customWidth="1"/>
    <col min="4" max="4" width="13.85546875" customWidth="1"/>
  </cols>
  <sheetData>
    <row r="1" spans="1:4" ht="15.75" x14ac:dyDescent="0.25">
      <c r="A1" s="2">
        <v>1</v>
      </c>
      <c r="B1" s="2">
        <v>2</v>
      </c>
      <c r="C1" s="2">
        <v>3</v>
      </c>
      <c r="D1" s="2">
        <v>4</v>
      </c>
    </row>
    <row r="2" spans="1:4" x14ac:dyDescent="0.25">
      <c r="A2" s="1" t="s">
        <v>10</v>
      </c>
      <c r="B2" s="1" t="s">
        <v>6</v>
      </c>
      <c r="C2" s="1" t="s">
        <v>16</v>
      </c>
      <c r="D2" s="1" t="s">
        <v>17</v>
      </c>
    </row>
    <row r="3" spans="1:4" x14ac:dyDescent="0.25">
      <c r="A3" s="1" t="s">
        <v>32</v>
      </c>
      <c r="B3" s="1">
        <v>750</v>
      </c>
      <c r="C3" s="1">
        <v>462.5</v>
      </c>
      <c r="D3" s="1">
        <v>1.7330000000000001</v>
      </c>
    </row>
    <row r="4" spans="1:4" x14ac:dyDescent="0.25">
      <c r="A4" s="1" t="s">
        <v>33</v>
      </c>
      <c r="B4" s="1">
        <v>750</v>
      </c>
      <c r="C4" s="1">
        <v>463</v>
      </c>
      <c r="D4" s="1">
        <v>1.7330000000000001</v>
      </c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Mass &amp; Balance</vt:lpstr>
      <vt:lpstr>AC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Olaf Pauls</cp:lastModifiedBy>
  <cp:lastPrinted>2024-03-17T20:57:10Z</cp:lastPrinted>
  <dcterms:created xsi:type="dcterms:W3CDTF">2015-06-05T18:19:34Z</dcterms:created>
  <dcterms:modified xsi:type="dcterms:W3CDTF">2025-12-17T08:54:26Z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4b007b8f-ed22-4f0d-9713-c19a1210938e</vt:lpwstr>
  </property>
</Properties>
</file>